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vicofin.sharepoint.com/Projektit/2022/2222 Lumitilaopas/Suunnittelu/"/>
    </mc:Choice>
  </mc:AlternateContent>
  <xr:revisionPtr revIDLastSave="39" documentId="8_{D90E7BB4-5AA8-48E0-AD6F-FDF37E3CD138}" xr6:coauthVersionLast="47" xr6:coauthVersionMax="47" xr10:uidLastSave="{FFAD81D9-0C72-493B-AA76-6BC01B2164EC}"/>
  <bookViews>
    <workbookView xWindow="-108" yWindow="-108" windowWidth="23256" windowHeight="12576" xr2:uid="{0C370B93-B121-41CE-A6FA-7A3DE23F3365}"/>
  </bookViews>
  <sheets>
    <sheet name="KP vaikutuslaskelma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C11" i="1"/>
  <c r="C22" i="1" s="1"/>
  <c r="C40" i="1"/>
  <c r="C41" i="1" s="1"/>
  <c r="I33" i="1"/>
  <c r="C6" i="1"/>
  <c r="R45" i="1"/>
  <c r="C35" i="1"/>
  <c r="P13" i="1"/>
  <c r="Y10" i="1" s="1"/>
  <c r="Y11" i="1" s="1"/>
  <c r="AA9" i="1"/>
  <c r="Z9" i="1"/>
  <c r="Y9" i="1"/>
  <c r="X9" i="1"/>
  <c r="W9" i="1"/>
  <c r="V9" i="1"/>
  <c r="U9" i="1"/>
  <c r="T9" i="1"/>
  <c r="S9" i="1"/>
  <c r="R9" i="1"/>
  <c r="Q9" i="1"/>
  <c r="P9" i="1"/>
  <c r="AB5" i="1"/>
  <c r="Y6" i="1" l="1"/>
  <c r="Y7" i="1" s="1"/>
  <c r="Q6" i="1"/>
  <c r="Q7" i="1" s="1"/>
  <c r="AB9" i="1"/>
  <c r="I34" i="1"/>
  <c r="S6" i="1"/>
  <c r="S7" i="1" s="1"/>
  <c r="AA6" i="1"/>
  <c r="AA7" i="1" s="1"/>
  <c r="T10" i="1"/>
  <c r="T11" i="1" s="1"/>
  <c r="R10" i="1"/>
  <c r="R11" i="1" s="1"/>
  <c r="AA10" i="1"/>
  <c r="AA11" i="1" s="1"/>
  <c r="T6" i="1"/>
  <c r="T7" i="1" s="1"/>
  <c r="U10" i="1"/>
  <c r="U11" i="1" s="1"/>
  <c r="U6" i="1"/>
  <c r="U7" i="1" s="1"/>
  <c r="V10" i="1"/>
  <c r="V11" i="1" s="1"/>
  <c r="W10" i="1"/>
  <c r="W11" i="1" s="1"/>
  <c r="Z10" i="1"/>
  <c r="Z11" i="1" s="1"/>
  <c r="R6" i="1"/>
  <c r="R7" i="1" s="1"/>
  <c r="S10" i="1"/>
  <c r="S11" i="1" s="1"/>
  <c r="V6" i="1"/>
  <c r="V7" i="1" s="1"/>
  <c r="W6" i="1"/>
  <c r="W7" i="1" s="1"/>
  <c r="P10" i="1"/>
  <c r="X10" i="1"/>
  <c r="X11" i="1" s="1"/>
  <c r="Z6" i="1"/>
  <c r="Z7" i="1" s="1"/>
  <c r="P6" i="1"/>
  <c r="X6" i="1"/>
  <c r="X7" i="1" s="1"/>
  <c r="Q10" i="1"/>
  <c r="Q11" i="1" s="1"/>
  <c r="AB6" i="1" l="1"/>
  <c r="P7" i="1"/>
  <c r="AB7" i="1" s="1"/>
  <c r="C16" i="1" s="1"/>
  <c r="P11" i="1"/>
  <c r="AB11" i="1" s="1"/>
  <c r="AB10" i="1"/>
  <c r="AB14" i="1" l="1"/>
  <c r="AB16" i="1" s="1"/>
  <c r="C17" i="1"/>
  <c r="C18" i="1" l="1"/>
  <c r="AB15" i="1"/>
  <c r="C20" i="1" s="1"/>
  <c r="C21" i="1" s="1"/>
  <c r="C23" i="1" s="1"/>
</calcChain>
</file>

<file path=xl/sharedStrings.xml><?xml version="1.0" encoding="utf-8"?>
<sst xmlns="http://schemas.openxmlformats.org/spreadsheetml/2006/main" count="81" uniqueCount="69">
  <si>
    <t>KUNNOSSAPIDON TASON NOSTAMISEN TALOUDELLINEN VAIKUTUSARVIOINTI</t>
  </si>
  <si>
    <t>LASKENTATAULUKKO (ÄLÄ MUUTA SOLUJA)</t>
  </si>
  <si>
    <t>Anna asukasmäärä</t>
  </si>
  <si>
    <t>Pyöräilyn kausikerron Suomessa (LVM 2016)</t>
  </si>
  <si>
    <t>Arvioitu aikuisväestön määrä</t>
  </si>
  <si>
    <t xml:space="preserve">  Arvioitu koko maan ikäjakauman perusteella (Tilastokeskus 2021)</t>
  </si>
  <si>
    <t>Pyöräilyn suoritteen jakaantuminen kuukausille/hlö</t>
  </si>
  <si>
    <t>km</t>
  </si>
  <si>
    <t>Pyöräillyt kilometrit lähtötasolla, koko populaatio</t>
  </si>
  <si>
    <t>Anna tavoiteltu talvipyöräilyn kasvun prosenttiluku</t>
  </si>
  <si>
    <t xml:space="preserve">  Tutkimusten mukaan paremman talvikunnossapidon tason on arvioitu nostavan talvipyöräilyn määrää 18-25 %</t>
  </si>
  <si>
    <t>Pyöräilyn kausikerron tason noston jälkeen</t>
  </si>
  <si>
    <t>Anna pyöräilyn suoritemäärä km/pvä/hlö</t>
  </si>
  <si>
    <t>Kunnossapitobudjetin lisäys / vuosi</t>
  </si>
  <si>
    <t>Pyöräillyt kilometrit tavoitetasolla, koko populaatio</t>
  </si>
  <si>
    <t>Tarkastelun aikajänne vuosina</t>
  </si>
  <si>
    <t xml:space="preserve">  Kuinka monen vuoden ajalta tarkastelu tehdään?</t>
  </si>
  <si>
    <t>Suorite / hlö parhaana pyöräilykuukautena</t>
  </si>
  <si>
    <t>SUORITEMÄÄRÄN KASVUN VAIKUTUS: Tulokset</t>
  </si>
  <si>
    <t>Pyöräilysuoritteen lisäys</t>
  </si>
  <si>
    <t>Laskennallinen säästö (0,30 €/km)</t>
  </si>
  <si>
    <t>€</t>
  </si>
  <si>
    <t>Pyöräillyt kilometrit ilman tason nostoa</t>
  </si>
  <si>
    <t>Autoilun vähentyminen talvikaudella (0,15 €/km)*</t>
  </si>
  <si>
    <t>Pyöräilyt kilometrit tason noston myötä</t>
  </si>
  <si>
    <t>*Laskelmassa on oletuksena valtakunnallinen kulkumuotojakauma talvella</t>
  </si>
  <si>
    <t>Palvelutason noston vaikutus suoritteeseen</t>
  </si>
  <si>
    <t>Pyöräilyn lisääntymisen taloudellinen hyöty / v</t>
  </si>
  <si>
    <t>€/v</t>
  </si>
  <si>
    <t>Suorite</t>
  </si>
  <si>
    <t>Hyötyjen nykyarvo tarkastelujaksolta</t>
  </si>
  <si>
    <t>Palvelutason nosto edellyttää myös suunnitelmallista ja systemaattista tiedottamista,</t>
  </si>
  <si>
    <t>Sisempi kaupunkialue</t>
  </si>
  <si>
    <t>Kustannusten nykyarvo tarkastelujaksolta</t>
  </si>
  <si>
    <t>sekä henkilöstön / urakoitsijoiden koulutusta</t>
  </si>
  <si>
    <t>Ulompi kaupunkialue</t>
  </si>
  <si>
    <t>H/K -suhde nykyarvossa</t>
  </si>
  <si>
    <t>Kaupungin kehysalue</t>
  </si>
  <si>
    <t>Maaseudun paikalliskeskukset</t>
  </si>
  <si>
    <t>KAATUMISTAPATURMIEN ENNALTAEHKÄISYN TALOUDELLINEN VAIKUTUSARVIOINTI</t>
  </si>
  <si>
    <t>Kaupungin läheinen maaseutu</t>
  </si>
  <si>
    <t>Ydinmaaseutu</t>
  </si>
  <si>
    <t>Harvaan asuttu maaseutu</t>
  </si>
  <si>
    <t>Koko maa</t>
  </si>
  <si>
    <t>Laskelmassa käytetyt lähtötiedot</t>
  </si>
  <si>
    <t>Yhden kaatumistapaturman kustannus</t>
  </si>
  <si>
    <t>Asukkaiden määrä</t>
  </si>
  <si>
    <t>Loukkaantumiseen johtaneet</t>
  </si>
  <si>
    <t>Loukkaantumiset tapaturmissa / vuosi</t>
  </si>
  <si>
    <t>kpl</t>
  </si>
  <si>
    <t>Kunnossapidolla myötävaikutus turmaan</t>
  </si>
  <si>
    <t>Arvioitu kustannus kaatumistapaturmista/v</t>
  </si>
  <si>
    <t>Kaatumistapaturmien yleisyys</t>
  </si>
  <si>
    <t>Anna tavoiteltu prosentuaalinen vähenemä (%)</t>
  </si>
  <si>
    <t>Ennaltaehkäisytyöllä saatava taloudellinen hyöty</t>
  </si>
  <si>
    <t>Kaatumistapaturmien ennaltaehkäisyyn kannattaa varat varoja. Keinoja on monia. Yksi niistä on keskeisten kävelyalueiden (etenkin ne, joissa liikkuu paljon vanhuksia jalkaisin) kunnossapitotason nostaminen.</t>
  </si>
  <si>
    <r>
      <t xml:space="preserve">KATUMISTAPATURMIEN ENNALTAEHKÄISY: </t>
    </r>
    <r>
      <rPr>
        <b/>
        <sz val="14"/>
        <color rgb="FFFFFF00"/>
        <rFont val="Calibri"/>
        <family val="2"/>
        <scheme val="minor"/>
      </rPr>
      <t>Syötä lähtötiedot vihreisiin soluihin</t>
    </r>
  </si>
  <si>
    <t xml:space="preserve">Aikuisväestön arvioitu kaatumistapaturmien määrä / v </t>
  </si>
  <si>
    <t>Navico Oy</t>
  </si>
  <si>
    <r>
      <t xml:space="preserve">TALVIPYÖRÄILYN YLEISYYDEN NOUSUN VAIKUTUS: </t>
    </r>
    <r>
      <rPr>
        <b/>
        <sz val="14"/>
        <color rgb="FFFFFF00"/>
        <rFont val="Calibri"/>
        <family val="2"/>
        <scheme val="minor"/>
      </rPr>
      <t>Syötä lähtötiedot vihreisiin soluihin</t>
    </r>
  </si>
  <si>
    <t xml:space="preserve">  Oulussa palvelutason parantamisen kustannusvaikutus on ollut noin 0,8 €/asukas (lähde: Oulun kaupunki)</t>
  </si>
  <si>
    <t xml:space="preserve">Pyöräilyn määrä kasvaa, autoilun määrä vähenee kulkumuotojakauman suhteessa </t>
  </si>
  <si>
    <t>Taulukko 1. Pyöräilyn suorite (hlö/pvä) seuduittain (LVM 2016)</t>
  </si>
  <si>
    <t xml:space="preserve">   Jos kaupunkikohtaista tietoa ei löydy, katso taulukosta 1. sopiva arvo</t>
  </si>
  <si>
    <r>
      <rPr>
        <sz val="11"/>
        <color theme="1"/>
        <rFont val="Calibri"/>
        <family val="2"/>
      </rPr>
      <t>©</t>
    </r>
    <r>
      <rPr>
        <sz val="11"/>
        <color theme="1"/>
        <rFont val="Calibri"/>
        <family val="2"/>
        <scheme val="minor"/>
      </rPr>
      <t>Timo Perälä</t>
    </r>
  </si>
  <si>
    <t>H/K -suhde</t>
  </si>
  <si>
    <t>Laskelmassa on käytetty samaa 0,8 €/asukas palvelutason noston kustannusta</t>
  </si>
  <si>
    <t xml:space="preserve">   Anna tavoiteluku loukaantumiseen johtuneiden kaatumistapaturmien vähentämiselle prosentteina </t>
  </si>
  <si>
    <t xml:space="preserve">  (61 % tapauksissa talvihoidon puutteilla myötävaikuttava tekijä)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</si>
</sst>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6" fillId="0" borderId="4" xfId="0" applyFont="1" applyBorder="1"/>
    <xf numFmtId="0" fontId="0" fillId="0" borderId="5" xfId="0" applyBorder="1"/>
    <xf numFmtId="0" fontId="0" fillId="0" borderId="4" xfId="0" applyBorder="1"/>
    <xf numFmtId="0" fontId="7" fillId="3" borderId="6" xfId="0" applyFont="1" applyFill="1" applyBorder="1" applyAlignment="1">
      <alignment horizontal="center"/>
    </xf>
    <xf numFmtId="0" fontId="0" fillId="0" borderId="6" xfId="0" applyBorder="1"/>
    <xf numFmtId="0" fontId="0" fillId="4" borderId="6" xfId="0" applyFill="1" applyBorder="1" applyAlignment="1">
      <alignment horizontal="center"/>
    </xf>
    <xf numFmtId="0" fontId="0" fillId="0" borderId="7" xfId="0" applyBorder="1"/>
    <xf numFmtId="2" fontId="0" fillId="5" borderId="6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0" borderId="0" xfId="0" applyNumberFormat="1"/>
    <xf numFmtId="0" fontId="0" fillId="6" borderId="6" xfId="0" applyFill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10" fontId="0" fillId="0" borderId="0" xfId="0" applyNumberFormat="1"/>
    <xf numFmtId="3" fontId="0" fillId="5" borderId="6" xfId="0" applyNumberFormat="1" applyFill="1" applyBorder="1" applyAlignment="1">
      <alignment horizontal="center"/>
    </xf>
    <xf numFmtId="3" fontId="0" fillId="4" borderId="6" xfId="0" applyNumberFormat="1" applyFill="1" applyBorder="1" applyAlignment="1">
      <alignment horizontal="center"/>
    </xf>
    <xf numFmtId="3" fontId="0" fillId="0" borderId="0" xfId="0" applyNumberFormat="1"/>
    <xf numFmtId="0" fontId="0" fillId="0" borderId="8" xfId="0" applyBorder="1"/>
    <xf numFmtId="0" fontId="0" fillId="0" borderId="9" xfId="0" applyBorder="1"/>
    <xf numFmtId="0" fontId="8" fillId="0" borderId="10" xfId="0" applyFont="1" applyBorder="1"/>
    <xf numFmtId="0" fontId="0" fillId="0" borderId="10" xfId="0" applyBorder="1"/>
    <xf numFmtId="0" fontId="0" fillId="0" borderId="11" xfId="0" applyBorder="1"/>
    <xf numFmtId="2" fontId="0" fillId="0" borderId="6" xfId="0" applyNumberFormat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0" fillId="0" borderId="0" xfId="0" applyAlignment="1">
      <alignment horizontal="right"/>
    </xf>
    <xf numFmtId="3" fontId="0" fillId="7" borderId="6" xfId="0" applyNumberFormat="1" applyFill="1" applyBorder="1" applyAlignment="1">
      <alignment horizontal="center"/>
    </xf>
    <xf numFmtId="0" fontId="9" fillId="0" borderId="10" xfId="0" applyFont="1" applyBorder="1"/>
    <xf numFmtId="3" fontId="0" fillId="0" borderId="10" xfId="0" applyNumberFormat="1" applyBorder="1"/>
    <xf numFmtId="0" fontId="1" fillId="0" borderId="0" xfId="0" applyFont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6" xfId="0" applyBorder="1" applyAlignment="1">
      <alignment horizontal="center"/>
    </xf>
    <xf numFmtId="2" fontId="1" fillId="7" borderId="9" xfId="0" applyNumberFormat="1" applyFont="1" applyFill="1" applyBorder="1" applyAlignment="1">
      <alignment horizontal="center"/>
    </xf>
    <xf numFmtId="3" fontId="0" fillId="6" borderId="6" xfId="0" applyNumberFormat="1" applyFill="1" applyBorder="1" applyAlignment="1">
      <alignment horizontal="center"/>
    </xf>
    <xf numFmtId="9" fontId="0" fillId="6" borderId="6" xfId="0" applyNumberForma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3" fontId="0" fillId="6" borderId="6" xfId="0" applyNumberFormat="1" applyFill="1" applyBorder="1"/>
    <xf numFmtId="3" fontId="1" fillId="7" borderId="6" xfId="0" applyNumberFormat="1" applyFont="1" applyFill="1" applyBorder="1" applyAlignment="1">
      <alignment horizontal="center"/>
    </xf>
    <xf numFmtId="0" fontId="8" fillId="0" borderId="8" xfId="0" applyFont="1" applyBorder="1"/>
    <xf numFmtId="8" fontId="0" fillId="0" borderId="0" xfId="0" applyNumberFormat="1"/>
    <xf numFmtId="0" fontId="0" fillId="4" borderId="6" xfId="0" applyFill="1" applyBorder="1" applyAlignment="1" applyProtection="1">
      <alignment horizontal="center"/>
      <protection locked="0"/>
    </xf>
    <xf numFmtId="3" fontId="0" fillId="4" borderId="6" xfId="0" applyNumberFormat="1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3" fontId="0" fillId="6" borderId="6" xfId="0" applyNumberFormat="1" applyFill="1" applyBorder="1" applyAlignment="1" applyProtection="1">
      <alignment horizont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4" fontId="1" fillId="7" borderId="6" xfId="0" applyNumberFormat="1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0BA7A-CFF2-4FB1-9429-A9686D861F03}">
  <dimension ref="A1:AC49"/>
  <sheetViews>
    <sheetView tabSelected="1" workbookViewId="0">
      <selection activeCell="J13" sqref="J13"/>
    </sheetView>
  </sheetViews>
  <sheetFormatPr defaultRowHeight="14.4" x14ac:dyDescent="0.3"/>
  <cols>
    <col min="2" max="2" width="47.6640625" customWidth="1"/>
    <col min="3" max="3" width="10.44140625" bestFit="1" customWidth="1"/>
    <col min="4" max="4" width="13.5546875" bestFit="1" customWidth="1"/>
    <col min="5" max="5" width="10" bestFit="1" customWidth="1"/>
    <col min="9" max="9" width="11" bestFit="1" customWidth="1"/>
    <col min="12" max="12" width="9.44140625" customWidth="1"/>
    <col min="15" max="15" width="43.21875" bestFit="1" customWidth="1"/>
    <col min="28" max="28" width="9.88671875" bestFit="1" customWidth="1"/>
  </cols>
  <sheetData>
    <row r="1" spans="1:29" ht="24" thickBot="1" x14ac:dyDescent="0.5">
      <c r="A1" s="1" t="s">
        <v>0</v>
      </c>
      <c r="J1" s="57" t="s">
        <v>64</v>
      </c>
      <c r="L1" s="57" t="s">
        <v>58</v>
      </c>
      <c r="M1" s="58">
        <v>45299</v>
      </c>
    </row>
    <row r="2" spans="1:29" ht="24" thickBot="1" x14ac:dyDescent="0.5">
      <c r="A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</row>
    <row r="3" spans="1:29" ht="18" x14ac:dyDescent="0.35">
      <c r="A3" s="5" t="s">
        <v>59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  <c r="O3" s="5" t="s">
        <v>1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9"/>
    </row>
    <row r="4" spans="1:29" ht="18" x14ac:dyDescent="0.35">
      <c r="A4" s="10"/>
      <c r="L4" s="11"/>
      <c r="O4" s="12"/>
      <c r="P4" s="13">
        <v>1</v>
      </c>
      <c r="Q4" s="13">
        <v>2</v>
      </c>
      <c r="R4" s="13">
        <v>3</v>
      </c>
      <c r="S4" s="13">
        <v>4</v>
      </c>
      <c r="T4" s="13">
        <v>5</v>
      </c>
      <c r="U4" s="13">
        <v>6</v>
      </c>
      <c r="V4" s="13">
        <v>7</v>
      </c>
      <c r="W4" s="13">
        <v>8</v>
      </c>
      <c r="X4" s="13">
        <v>9</v>
      </c>
      <c r="Y4" s="13">
        <v>10</v>
      </c>
      <c r="Z4" s="13">
        <v>11</v>
      </c>
      <c r="AA4" s="13">
        <v>12</v>
      </c>
      <c r="AC4" s="11"/>
    </row>
    <row r="5" spans="1:29" x14ac:dyDescent="0.3">
      <c r="A5" s="12"/>
      <c r="B5" s="14" t="s">
        <v>2</v>
      </c>
      <c r="C5" s="53">
        <v>20000</v>
      </c>
      <c r="L5" s="11"/>
      <c r="O5" s="16" t="s">
        <v>3</v>
      </c>
      <c r="P5" s="17">
        <v>0.38107036669970268</v>
      </c>
      <c r="Q5" s="17">
        <v>0.34886025768087214</v>
      </c>
      <c r="R5" s="17">
        <v>0.44482986455236206</v>
      </c>
      <c r="S5" s="17">
        <v>0.71159563924677904</v>
      </c>
      <c r="T5" s="18">
        <v>0.95672282788239182</v>
      </c>
      <c r="U5" s="18">
        <v>1</v>
      </c>
      <c r="V5" s="18">
        <v>0.96630327056491572</v>
      </c>
      <c r="W5" s="18">
        <v>0.99603567888999012</v>
      </c>
      <c r="X5" s="18">
        <v>0.89378923026098445</v>
      </c>
      <c r="Y5" s="17">
        <v>0.74198876775685496</v>
      </c>
      <c r="Z5" s="17">
        <v>0.69127849355797821</v>
      </c>
      <c r="AA5" s="17">
        <v>0.37809712586719524</v>
      </c>
      <c r="AB5" s="19">
        <f>SUM(P5:AA5)</f>
        <v>8.5105715229600278</v>
      </c>
      <c r="AC5" s="11"/>
    </row>
    <row r="6" spans="1:29" x14ac:dyDescent="0.3">
      <c r="A6" s="12"/>
      <c r="B6" s="14" t="s">
        <v>4</v>
      </c>
      <c r="C6" s="20">
        <f>C5*0.77855</f>
        <v>15571</v>
      </c>
      <c r="D6" s="21" t="s">
        <v>5</v>
      </c>
      <c r="L6" s="11"/>
      <c r="O6" s="16" t="s">
        <v>6</v>
      </c>
      <c r="P6" s="17">
        <f>P5*$P13</f>
        <v>13.242537313432834</v>
      </c>
      <c r="Q6" s="17">
        <f t="shared" ref="Q6:V6" si="0">Q5*$P13</f>
        <v>12.123207111387146</v>
      </c>
      <c r="R6" s="17">
        <f t="shared" si="0"/>
        <v>15.458237097995067</v>
      </c>
      <c r="S6" s="17">
        <f t="shared" si="0"/>
        <v>24.72858723288628</v>
      </c>
      <c r="T6" s="18">
        <f t="shared" si="0"/>
        <v>33.246977078198078</v>
      </c>
      <c r="U6" s="18">
        <f t="shared" si="0"/>
        <v>34.750897657356902</v>
      </c>
      <c r="V6" s="18">
        <f t="shared" si="0"/>
        <v>33.579906061370643</v>
      </c>
      <c r="W6" s="18">
        <f>W5*$P13</f>
        <v>34.613133940182045</v>
      </c>
      <c r="X6" s="18">
        <f t="shared" ref="X6:AA6" si="1">X5*$P13</f>
        <v>31.059978068047272</v>
      </c>
      <c r="Y6" s="17">
        <f t="shared" si="1"/>
        <v>25.784775731226826</v>
      </c>
      <c r="Z6" s="17">
        <f t="shared" si="1"/>
        <v>24.022548182365153</v>
      </c>
      <c r="AA6" s="17">
        <f t="shared" si="1"/>
        <v>13.139214525551692</v>
      </c>
      <c r="AB6">
        <f>SUM(P6:AA6)</f>
        <v>295.74999999999994</v>
      </c>
      <c r="AC6" s="11" t="s">
        <v>7</v>
      </c>
    </row>
    <row r="7" spans="1:29" x14ac:dyDescent="0.3">
      <c r="A7" s="12"/>
      <c r="C7" s="22"/>
      <c r="F7" s="23"/>
      <c r="L7" s="11"/>
      <c r="O7" s="16" t="s">
        <v>8</v>
      </c>
      <c r="P7" s="24">
        <f>P6*$C6</f>
        <v>206199.54850746266</v>
      </c>
      <c r="Q7" s="24">
        <f t="shared" ref="Q7:S7" si="2">Q6*$C6</f>
        <v>188770.45793140924</v>
      </c>
      <c r="R7" s="24">
        <f t="shared" si="2"/>
        <v>240700.20985288118</v>
      </c>
      <c r="S7" s="24">
        <f t="shared" si="2"/>
        <v>385048.83180327225</v>
      </c>
      <c r="T7" s="25">
        <f>T6*$C6</f>
        <v>517688.68008462229</v>
      </c>
      <c r="U7" s="25">
        <f t="shared" ref="U7:X7" si="3">U6*$C6</f>
        <v>541106.22742270434</v>
      </c>
      <c r="V7" s="25">
        <f t="shared" si="3"/>
        <v>522872.71728160226</v>
      </c>
      <c r="W7" s="25">
        <f t="shared" si="3"/>
        <v>538961.10858257464</v>
      </c>
      <c r="X7" s="25">
        <f t="shared" si="3"/>
        <v>483634.9184975641</v>
      </c>
      <c r="Y7" s="24">
        <f>Y6*$C6</f>
        <v>401494.74291093292</v>
      </c>
      <c r="Z7" s="24">
        <f t="shared" ref="Z7:AA7" si="4">Z6*$C6</f>
        <v>374055.0977476078</v>
      </c>
      <c r="AA7" s="24">
        <f t="shared" si="4"/>
        <v>204590.70937736539</v>
      </c>
      <c r="AB7" s="26">
        <f>SUM(P7:AA7)</f>
        <v>4605123.2499999991</v>
      </c>
      <c r="AC7" s="11" t="s">
        <v>7</v>
      </c>
    </row>
    <row r="8" spans="1:29" x14ac:dyDescent="0.3">
      <c r="A8" s="12"/>
      <c r="B8" s="14" t="s">
        <v>9</v>
      </c>
      <c r="C8" s="53">
        <v>20</v>
      </c>
      <c r="D8" s="21" t="s">
        <v>10</v>
      </c>
      <c r="L8" s="11"/>
      <c r="O8" s="12"/>
      <c r="AC8" s="11"/>
    </row>
    <row r="9" spans="1:29" x14ac:dyDescent="0.3">
      <c r="A9" s="12"/>
      <c r="C9" s="22"/>
      <c r="L9" s="11"/>
      <c r="O9" s="16" t="s">
        <v>11</v>
      </c>
      <c r="P9" s="17">
        <f>P5+($C8/100)*P5</f>
        <v>0.45728444003964319</v>
      </c>
      <c r="Q9" s="17">
        <f t="shared" ref="Q9:S9" si="5">Q5+($C8/100)*Q5</f>
        <v>0.41863230921704658</v>
      </c>
      <c r="R9" s="17">
        <f t="shared" si="5"/>
        <v>0.53379583746283443</v>
      </c>
      <c r="S9" s="17">
        <f t="shared" si="5"/>
        <v>0.8539147670961349</v>
      </c>
      <c r="T9" s="18">
        <f>T5</f>
        <v>0.95672282788239182</v>
      </c>
      <c r="U9" s="18">
        <f>U5</f>
        <v>1</v>
      </c>
      <c r="V9" s="18">
        <f>V5</f>
        <v>0.96630327056491572</v>
      </c>
      <c r="W9" s="18">
        <f>W5</f>
        <v>0.99603567888999012</v>
      </c>
      <c r="X9" s="18">
        <f>X5</f>
        <v>0.89378923026098445</v>
      </c>
      <c r="Y9" s="17">
        <f t="shared" ref="Y9:AA9" si="6">Y5+($C8/100)*Y5</f>
        <v>0.89038652130822593</v>
      </c>
      <c r="Z9" s="17">
        <f t="shared" si="6"/>
        <v>0.82953419226957381</v>
      </c>
      <c r="AA9" s="17">
        <f t="shared" si="6"/>
        <v>0.4537165510406343</v>
      </c>
      <c r="AB9" s="19">
        <f>SUM(P9:AA9)</f>
        <v>9.2501156260323754</v>
      </c>
      <c r="AC9" s="11"/>
    </row>
    <row r="10" spans="1:29" x14ac:dyDescent="0.3">
      <c r="A10" s="12"/>
      <c r="B10" s="14" t="s">
        <v>12</v>
      </c>
      <c r="C10" s="53">
        <v>0.91</v>
      </c>
      <c r="D10" s="21" t="s">
        <v>63</v>
      </c>
      <c r="L10" s="11"/>
      <c r="O10" s="16" t="s">
        <v>6</v>
      </c>
      <c r="P10" s="17">
        <f>$P13*P9</f>
        <v>15.891044776119399</v>
      </c>
      <c r="Q10" s="17">
        <f t="shared" ref="Q10:AA10" si="7">$P13*Q9</f>
        <v>14.547848533664574</v>
      </c>
      <c r="R10" s="17">
        <f t="shared" si="7"/>
        <v>18.54988451759408</v>
      </c>
      <c r="S10" s="17">
        <f t="shared" si="7"/>
        <v>29.674304679463539</v>
      </c>
      <c r="T10" s="18">
        <f t="shared" si="7"/>
        <v>33.246977078198078</v>
      </c>
      <c r="U10" s="18">
        <f t="shared" si="7"/>
        <v>34.750897657356902</v>
      </c>
      <c r="V10" s="18">
        <f t="shared" si="7"/>
        <v>33.579906061370643</v>
      </c>
      <c r="W10" s="18">
        <f t="shared" si="7"/>
        <v>34.613133940182045</v>
      </c>
      <c r="X10" s="18">
        <f t="shared" si="7"/>
        <v>31.059978068047272</v>
      </c>
      <c r="Y10" s="17">
        <f t="shared" si="7"/>
        <v>30.941730877472189</v>
      </c>
      <c r="Z10" s="17">
        <f t="shared" si="7"/>
        <v>28.827057818838181</v>
      </c>
      <c r="AA10" s="17">
        <f t="shared" si="7"/>
        <v>15.767057430662032</v>
      </c>
      <c r="AB10">
        <f>SUM(P10:AA10)</f>
        <v>321.44982143896897</v>
      </c>
      <c r="AC10" s="11"/>
    </row>
    <row r="11" spans="1:29" x14ac:dyDescent="0.3">
      <c r="A11" s="12"/>
      <c r="B11" s="14" t="s">
        <v>13</v>
      </c>
      <c r="C11" s="56">
        <f>0.8*C5</f>
        <v>16000</v>
      </c>
      <c r="D11" s="21" t="s">
        <v>60</v>
      </c>
      <c r="L11" s="11"/>
      <c r="O11" s="16" t="s">
        <v>14</v>
      </c>
      <c r="P11" s="24">
        <f>P10*$C6</f>
        <v>247439.45820895515</v>
      </c>
      <c r="Q11" s="24">
        <f t="shared" ref="Q11:AA11" si="8">Q10*$C6</f>
        <v>226524.54951769108</v>
      </c>
      <c r="R11" s="24">
        <f t="shared" si="8"/>
        <v>288840.25182345742</v>
      </c>
      <c r="S11" s="24">
        <f t="shared" si="8"/>
        <v>462058.59816392674</v>
      </c>
      <c r="T11" s="25">
        <f t="shared" si="8"/>
        <v>517688.68008462229</v>
      </c>
      <c r="U11" s="25">
        <f t="shared" si="8"/>
        <v>541106.22742270434</v>
      </c>
      <c r="V11" s="25">
        <f t="shared" si="8"/>
        <v>522872.71728160226</v>
      </c>
      <c r="W11" s="25">
        <f t="shared" si="8"/>
        <v>538961.10858257464</v>
      </c>
      <c r="X11" s="25">
        <f t="shared" si="8"/>
        <v>483634.9184975641</v>
      </c>
      <c r="Y11" s="24">
        <f t="shared" si="8"/>
        <v>481793.69149311946</v>
      </c>
      <c r="Z11" s="24">
        <f t="shared" si="8"/>
        <v>448866.1172971293</v>
      </c>
      <c r="AA11" s="24">
        <f t="shared" si="8"/>
        <v>245508.8512528385</v>
      </c>
      <c r="AB11" s="26">
        <f>SUM(P11:AA11)</f>
        <v>5005295.1696261857</v>
      </c>
      <c r="AC11" s="11"/>
    </row>
    <row r="12" spans="1:29" ht="15" thickBot="1" x14ac:dyDescent="0.35">
      <c r="A12" s="27"/>
      <c r="B12" s="28" t="s">
        <v>15</v>
      </c>
      <c r="C12" s="55">
        <v>5</v>
      </c>
      <c r="D12" s="29" t="s">
        <v>16</v>
      </c>
      <c r="E12" s="30"/>
      <c r="F12" s="30"/>
      <c r="G12" s="30"/>
      <c r="H12" s="30"/>
      <c r="I12" s="30"/>
      <c r="J12" s="30"/>
      <c r="K12" s="30"/>
      <c r="L12" s="31"/>
      <c r="O12" s="12"/>
      <c r="AC12" s="11"/>
    </row>
    <row r="13" spans="1:29" ht="15" thickBot="1" x14ac:dyDescent="0.35">
      <c r="O13" s="16" t="s">
        <v>17</v>
      </c>
      <c r="P13" s="32">
        <f>(C10*325)/AB5</f>
        <v>34.750897657356902</v>
      </c>
      <c r="AC13" s="11"/>
    </row>
    <row r="14" spans="1:29" ht="18" x14ac:dyDescent="0.35">
      <c r="A14" s="5" t="s">
        <v>18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4"/>
      <c r="O14" s="12"/>
      <c r="AA14" s="35" t="s">
        <v>19</v>
      </c>
      <c r="AB14" s="26">
        <f>AB11-AB7</f>
        <v>400171.9196261866</v>
      </c>
      <c r="AC14" s="11" t="s">
        <v>7</v>
      </c>
    </row>
    <row r="15" spans="1:29" x14ac:dyDescent="0.3">
      <c r="A15" s="12"/>
      <c r="L15" s="11"/>
      <c r="O15" s="12"/>
      <c r="AA15" s="35" t="s">
        <v>20</v>
      </c>
      <c r="AB15" s="26">
        <f>0.3*AB14</f>
        <v>120051.57588785597</v>
      </c>
      <c r="AC15" s="11" t="s">
        <v>21</v>
      </c>
    </row>
    <row r="16" spans="1:29" x14ac:dyDescent="0.3">
      <c r="A16" s="12"/>
      <c r="B16" s="14" t="s">
        <v>22</v>
      </c>
      <c r="C16" s="36">
        <f>AB7</f>
        <v>4605123.2499999991</v>
      </c>
      <c r="D16" t="s">
        <v>7</v>
      </c>
      <c r="L16" s="11"/>
      <c r="O16" s="12"/>
      <c r="AA16" s="35" t="s">
        <v>23</v>
      </c>
      <c r="AB16" s="26">
        <f>(0.81*AB14)*0.15</f>
        <v>48620.888234581675</v>
      </c>
      <c r="AC16" s="11" t="s">
        <v>21</v>
      </c>
    </row>
    <row r="17" spans="1:29" ht="15" thickBot="1" x14ac:dyDescent="0.35">
      <c r="A17" s="12"/>
      <c r="B17" s="14" t="s">
        <v>24</v>
      </c>
      <c r="C17" s="36">
        <f>AB11</f>
        <v>5005295.1696261857</v>
      </c>
      <c r="D17" t="s">
        <v>7</v>
      </c>
      <c r="L17" s="11"/>
      <c r="O17" s="27"/>
      <c r="P17" s="30"/>
      <c r="Q17" s="30"/>
      <c r="R17" s="30"/>
      <c r="S17" s="30"/>
      <c r="T17" s="30"/>
      <c r="U17" s="30"/>
      <c r="V17" s="30"/>
      <c r="W17" s="37" t="s">
        <v>25</v>
      </c>
      <c r="X17" s="30"/>
      <c r="Y17" s="30"/>
      <c r="Z17" s="30"/>
      <c r="AA17" s="30"/>
      <c r="AB17" s="38"/>
      <c r="AC17" s="31"/>
    </row>
    <row r="18" spans="1:29" x14ac:dyDescent="0.3">
      <c r="A18" s="12"/>
      <c r="B18" s="14" t="s">
        <v>26</v>
      </c>
      <c r="C18" s="36">
        <f>AB14</f>
        <v>400171.9196261866</v>
      </c>
      <c r="D18" t="s">
        <v>7</v>
      </c>
      <c r="L18" s="11"/>
    </row>
    <row r="19" spans="1:29" x14ac:dyDescent="0.3">
      <c r="A19" s="12"/>
      <c r="C19" s="22"/>
      <c r="L19" s="11"/>
      <c r="O19" s="39" t="s">
        <v>62</v>
      </c>
    </row>
    <row r="20" spans="1:29" x14ac:dyDescent="0.3">
      <c r="A20" s="12"/>
      <c r="B20" s="14" t="s">
        <v>27</v>
      </c>
      <c r="C20" s="36">
        <f>AB15+AB16</f>
        <v>168672.46412243764</v>
      </c>
      <c r="D20" t="s">
        <v>28</v>
      </c>
      <c r="E20" s="21" t="s">
        <v>61</v>
      </c>
      <c r="L20" s="11"/>
      <c r="O20" s="14"/>
      <c r="P20" s="15" t="s">
        <v>29</v>
      </c>
    </row>
    <row r="21" spans="1:29" x14ac:dyDescent="0.3">
      <c r="A21" s="12"/>
      <c r="B21" s="14" t="s">
        <v>30</v>
      </c>
      <c r="C21" s="36">
        <f>PV(0.04,C12,-C20)</f>
        <v>750899.84240779851</v>
      </c>
      <c r="D21" t="s">
        <v>21</v>
      </c>
      <c r="E21" s="21" t="s">
        <v>31</v>
      </c>
      <c r="L21" s="11"/>
      <c r="O21" s="40" t="s">
        <v>32</v>
      </c>
      <c r="P21" s="41">
        <v>0.8</v>
      </c>
    </row>
    <row r="22" spans="1:29" x14ac:dyDescent="0.3">
      <c r="A22" s="12"/>
      <c r="B22" s="14" t="s">
        <v>33</v>
      </c>
      <c r="C22" s="36">
        <f>PV(0.04,C12,-C11)</f>
        <v>71229.157296259364</v>
      </c>
      <c r="D22" t="s">
        <v>21</v>
      </c>
      <c r="E22" s="21" t="s">
        <v>34</v>
      </c>
      <c r="L22" s="11"/>
      <c r="O22" s="42" t="s">
        <v>35</v>
      </c>
      <c r="P22" s="43">
        <v>0.8</v>
      </c>
    </row>
    <row r="23" spans="1:29" ht="15" thickBot="1" x14ac:dyDescent="0.35">
      <c r="A23" s="27"/>
      <c r="B23" s="28" t="s">
        <v>36</v>
      </c>
      <c r="C23" s="44">
        <f>C21/C22</f>
        <v>10.542029007652355</v>
      </c>
      <c r="D23" s="30"/>
      <c r="E23" s="30"/>
      <c r="F23" s="30"/>
      <c r="G23" s="30"/>
      <c r="H23" s="30"/>
      <c r="I23" s="30"/>
      <c r="J23" s="30"/>
      <c r="K23" s="30"/>
      <c r="L23" s="31"/>
      <c r="O23" s="42" t="s">
        <v>37</v>
      </c>
      <c r="P23" s="43">
        <v>0.8</v>
      </c>
    </row>
    <row r="24" spans="1:29" x14ac:dyDescent="0.3">
      <c r="O24" s="42" t="s">
        <v>38</v>
      </c>
      <c r="P24" s="43">
        <v>0.7</v>
      </c>
    </row>
    <row r="25" spans="1:29" ht="23.4" x14ac:dyDescent="0.45">
      <c r="A25" s="1" t="s">
        <v>39</v>
      </c>
      <c r="O25" s="42" t="s">
        <v>40</v>
      </c>
      <c r="P25" s="43">
        <v>0.5</v>
      </c>
    </row>
    <row r="26" spans="1:29" ht="15" thickBot="1" x14ac:dyDescent="0.35">
      <c r="O26" s="42" t="s">
        <v>41</v>
      </c>
      <c r="P26" s="43">
        <v>0.6</v>
      </c>
    </row>
    <row r="27" spans="1:29" ht="18" x14ac:dyDescent="0.35">
      <c r="A27" s="5" t="s">
        <v>56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7"/>
      <c r="O27" s="42" t="s">
        <v>42</v>
      </c>
      <c r="P27" s="43">
        <v>0.3</v>
      </c>
    </row>
    <row r="28" spans="1:29" x14ac:dyDescent="0.3">
      <c r="A28" s="12"/>
      <c r="L28" s="11"/>
      <c r="O28" s="42" t="s">
        <v>43</v>
      </c>
      <c r="P28" s="43">
        <v>0.7</v>
      </c>
    </row>
    <row r="29" spans="1:29" x14ac:dyDescent="0.3">
      <c r="A29" s="12"/>
      <c r="B29" t="s">
        <v>44</v>
      </c>
      <c r="L29" s="11"/>
    </row>
    <row r="30" spans="1:29" x14ac:dyDescent="0.3">
      <c r="A30" s="12"/>
      <c r="L30" s="11"/>
    </row>
    <row r="31" spans="1:29" x14ac:dyDescent="0.3">
      <c r="A31" s="12"/>
      <c r="B31" s="14" t="s">
        <v>57</v>
      </c>
      <c r="C31" s="56">
        <f>C32*(0.77855)*C35</f>
        <v>2117.6559999999999</v>
      </c>
      <c r="E31" s="14" t="s">
        <v>45</v>
      </c>
      <c r="F31" s="14"/>
      <c r="G31" s="14"/>
      <c r="H31" s="14"/>
      <c r="I31" s="45">
        <v>8120</v>
      </c>
      <c r="J31" t="s">
        <v>21</v>
      </c>
      <c r="L31" s="11"/>
    </row>
    <row r="32" spans="1:29" x14ac:dyDescent="0.3">
      <c r="A32" s="12"/>
      <c r="B32" s="14" t="s">
        <v>46</v>
      </c>
      <c r="C32" s="54">
        <v>200000</v>
      </c>
      <c r="I32" s="26"/>
      <c r="L32" s="11"/>
    </row>
    <row r="33" spans="1:18" x14ac:dyDescent="0.3">
      <c r="A33" s="12"/>
      <c r="B33" s="14" t="s">
        <v>47</v>
      </c>
      <c r="C33" s="46">
        <v>0.5</v>
      </c>
      <c r="E33" s="42" t="s">
        <v>48</v>
      </c>
      <c r="F33" s="47"/>
      <c r="G33" s="47"/>
      <c r="H33" s="48"/>
      <c r="I33" s="45">
        <f>C32*C35*C33</f>
        <v>1360</v>
      </c>
      <c r="J33" s="26" t="s">
        <v>49</v>
      </c>
      <c r="L33" s="11"/>
    </row>
    <row r="34" spans="1:18" x14ac:dyDescent="0.3">
      <c r="A34" s="12"/>
      <c r="B34" s="14" t="s">
        <v>50</v>
      </c>
      <c r="C34" s="46">
        <v>0.61</v>
      </c>
      <c r="E34" s="42" t="s">
        <v>51</v>
      </c>
      <c r="F34" s="47"/>
      <c r="G34" s="47"/>
      <c r="H34" s="48"/>
      <c r="I34" s="49">
        <f>I33*I31</f>
        <v>11043200</v>
      </c>
      <c r="J34" t="s">
        <v>21</v>
      </c>
      <c r="L34" s="11"/>
    </row>
    <row r="35" spans="1:18" x14ac:dyDescent="0.3">
      <c r="A35" s="12"/>
      <c r="B35" s="14" t="s">
        <v>52</v>
      </c>
      <c r="C35" s="20">
        <f>13.6/1000</f>
        <v>1.3599999999999999E-2</v>
      </c>
      <c r="L35" s="11"/>
      <c r="O35" s="26"/>
      <c r="Q35" s="26"/>
    </row>
    <row r="36" spans="1:18" x14ac:dyDescent="0.3">
      <c r="A36" s="12"/>
      <c r="L36" s="11"/>
      <c r="O36" s="26"/>
    </row>
    <row r="37" spans="1:18" x14ac:dyDescent="0.3">
      <c r="A37" s="12"/>
      <c r="B37" s="14" t="s">
        <v>53</v>
      </c>
      <c r="C37" s="53">
        <v>12</v>
      </c>
      <c r="D37" s="21" t="s">
        <v>67</v>
      </c>
      <c r="L37" s="11"/>
    </row>
    <row r="38" spans="1:18" x14ac:dyDescent="0.3">
      <c r="A38" s="12"/>
      <c r="D38" s="21" t="s">
        <v>68</v>
      </c>
      <c r="L38" s="11"/>
    </row>
    <row r="39" spans="1:18" x14ac:dyDescent="0.3">
      <c r="A39" s="12"/>
      <c r="L39" s="11"/>
    </row>
    <row r="40" spans="1:18" x14ac:dyDescent="0.3">
      <c r="A40" s="12"/>
      <c r="B40" s="14" t="s">
        <v>54</v>
      </c>
      <c r="C40" s="50">
        <f>(C37/100)*I33*I31*C34</f>
        <v>808362.24</v>
      </c>
      <c r="D40" t="s">
        <v>28</v>
      </c>
      <c r="L40" s="11"/>
    </row>
    <row r="41" spans="1:18" x14ac:dyDescent="0.3">
      <c r="A41" s="12"/>
      <c r="B41" s="14" t="s">
        <v>65</v>
      </c>
      <c r="C41" s="59">
        <f>(C40/(C32*0.8))</f>
        <v>5.0522640000000001</v>
      </c>
      <c r="E41" s="21" t="s">
        <v>66</v>
      </c>
      <c r="L41" s="11"/>
      <c r="R41" s="26"/>
    </row>
    <row r="42" spans="1:18" ht="15" thickBot="1" x14ac:dyDescent="0.35">
      <c r="A42" s="51" t="s">
        <v>55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1"/>
    </row>
    <row r="43" spans="1:18" x14ac:dyDescent="0.3">
      <c r="R43" s="26">
        <v>5536146</v>
      </c>
    </row>
    <row r="45" spans="1:18" x14ac:dyDescent="0.3">
      <c r="R45" t="e">
        <f>#REF!/R43*100</f>
        <v>#REF!</v>
      </c>
    </row>
    <row r="49" spans="4:4" x14ac:dyDescent="0.3">
      <c r="D49" s="52"/>
    </row>
  </sheetData>
  <sheetProtection algorithmName="SHA-512" hashValue="3L4JyqdqHPnCs6HMSD29Vb5pUb/qYVy5Pb+1U2ka/l9AH5KcRfAHLM2qFMLTDkxIkLlQEsXwaqPhJde/rPFHOA==" saltValue="on0/RxYe+94ZJwHH/RyUE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KP vaikutuslaskelmat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Perälä</dc:creator>
  <cp:lastModifiedBy>Timo Perälä</cp:lastModifiedBy>
  <dcterms:created xsi:type="dcterms:W3CDTF">2024-01-08T13:20:04Z</dcterms:created>
  <dcterms:modified xsi:type="dcterms:W3CDTF">2024-01-08T13:51:25Z</dcterms:modified>
</cp:coreProperties>
</file>